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W:\JLPAPE\CURSOS\IME 2024 CdG\Módulo 2\"/>
    </mc:Choice>
  </mc:AlternateContent>
  <xr:revisionPtr revIDLastSave="0" documentId="13_ncr:1_{9578C9CB-4D59-4B8F-88A7-325E86A6BBA7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Margen teórico refino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4" l="1"/>
  <c r="G26" i="4"/>
  <c r="G25" i="4"/>
  <c r="D47" i="4"/>
  <c r="D48" i="4"/>
  <c r="D49" i="4"/>
  <c r="D50" i="4"/>
  <c r="E47" i="4"/>
  <c r="E48" i="4"/>
  <c r="E49" i="4"/>
  <c r="E50" i="4"/>
  <c r="D46" i="4"/>
  <c r="E46" i="4"/>
  <c r="E38" i="4"/>
  <c r="E39" i="4"/>
  <c r="E40" i="4"/>
  <c r="E41" i="4"/>
  <c r="E42" i="4"/>
  <c r="E30" i="4"/>
  <c r="E31" i="4"/>
  <c r="E32" i="4"/>
  <c r="E33" i="4"/>
  <c r="E34" i="4"/>
  <c r="D39" i="4"/>
  <c r="D40" i="4"/>
  <c r="D41" i="4"/>
  <c r="D42" i="4"/>
  <c r="D38" i="4"/>
  <c r="D27" i="4"/>
  <c r="D26" i="4"/>
  <c r="D25" i="4"/>
  <c r="E20" i="4"/>
  <c r="E35" i="4" l="1"/>
  <c r="E26" i="4" l="1"/>
  <c r="E27" i="4"/>
  <c r="E25" i="4"/>
  <c r="D31" i="4"/>
  <c r="D32" i="4"/>
  <c r="D33" i="4"/>
  <c r="D34" i="4"/>
  <c r="D30" i="4"/>
  <c r="E21" i="4"/>
  <c r="E22" i="4"/>
  <c r="F20" i="4"/>
  <c r="F25" i="4" l="1"/>
  <c r="F27" i="4" l="1"/>
  <c r="F26" i="4"/>
  <c r="F22" i="4"/>
  <c r="F21" i="4"/>
  <c r="E51" i="4" l="1"/>
  <c r="E43" i="4"/>
  <c r="H25" i="4" l="1"/>
  <c r="H27" i="4"/>
  <c r="H26" i="4" l="1"/>
</calcChain>
</file>

<file path=xl/sharedStrings.xml><?xml version="1.0" encoding="utf-8"?>
<sst xmlns="http://schemas.openxmlformats.org/spreadsheetml/2006/main" count="80" uniqueCount="45">
  <si>
    <t>Ural</t>
  </si>
  <si>
    <t>Bbl</t>
  </si>
  <si>
    <t>Cotización Brent</t>
  </si>
  <si>
    <t>LPG</t>
  </si>
  <si>
    <t>Nafta</t>
  </si>
  <si>
    <t>Kero</t>
  </si>
  <si>
    <t>Gas oil</t>
  </si>
  <si>
    <t>Fuel Oil</t>
  </si>
  <si>
    <t>Bbl/Tm</t>
  </si>
  <si>
    <t>Tm</t>
  </si>
  <si>
    <t>Rendimientos (% Volumen)</t>
  </si>
  <si>
    <t>Venta productos</t>
  </si>
  <si>
    <t>Precio cargamento</t>
  </si>
  <si>
    <t>Rendimiento productos</t>
  </si>
  <si>
    <t>Margen de refino</t>
  </si>
  <si>
    <t>API</t>
  </si>
  <si>
    <t>Flotta</t>
  </si>
  <si>
    <t>Crudo medio ligero y características sour</t>
  </si>
  <si>
    <t>Fecha 15 agosto</t>
  </si>
  <si>
    <t>Agosto 2023, Refinería Hidroskimming</t>
  </si>
  <si>
    <t>Rusia</t>
  </si>
  <si>
    <t>Noruega</t>
  </si>
  <si>
    <t>Mar del Norte</t>
  </si>
  <si>
    <t>Jet</t>
  </si>
  <si>
    <t>Fuel oil</t>
  </si>
  <si>
    <t>Azufre %</t>
  </si>
  <si>
    <t>Propano CIF Large Cargoes</t>
  </si>
  <si>
    <t>Jet FOB Med</t>
  </si>
  <si>
    <t>Gasoil</t>
  </si>
  <si>
    <t>Gasoil 10 ppm ULSD FOB med</t>
  </si>
  <si>
    <t>Fuel 3,5% FOB med</t>
  </si>
  <si>
    <t>Nafta FOB Med</t>
  </si>
  <si>
    <t>Precios productos</t>
  </si>
  <si>
    <t>Cotización Brent ($/bbl)</t>
  </si>
  <si>
    <t>Dtd Brent</t>
  </si>
  <si>
    <t xml:space="preserve">Ural </t>
  </si>
  <si>
    <t>Grane Blend</t>
  </si>
  <si>
    <t>Calcular el margen de refino teórico para cada calidad</t>
  </si>
  <si>
    <t>Fórmula precio usd/bbl Dtd Brent</t>
  </si>
  <si>
    <t>B/L</t>
  </si>
  <si>
    <t>Cotizaciones ($/tm)</t>
  </si>
  <si>
    <t>Pago</t>
  </si>
  <si>
    <t>30 after B/L</t>
  </si>
  <si>
    <t>Rendimientos en peso crudos %</t>
  </si>
  <si>
    <t>El crudo elegido sería el Ural según los cálculos realizados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</si>
</sst>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entu gothic"/>
    </font>
    <font>
      <sz val="9"/>
      <color theme="1"/>
      <name val="Centu gothic"/>
    </font>
    <font>
      <sz val="9"/>
      <name val="Centu gothic"/>
    </font>
    <font>
      <b/>
      <sz val="9"/>
      <color theme="0"/>
      <name val="Centu gothic"/>
    </font>
    <font>
      <sz val="9"/>
      <color rgb="FFFF0000"/>
      <name val="Centu gothic"/>
    </font>
    <font>
      <b/>
      <sz val="9"/>
      <color rgb="FFFF0000"/>
      <name val="Centu gothic"/>
    </font>
    <font>
      <b/>
      <sz val="9"/>
      <name val="Centu gothic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theme="0" tint="-4.9989318521683403E-2"/>
      </left>
      <right style="double">
        <color theme="0" tint="-4.9989318521683403E-2"/>
      </right>
      <top style="double">
        <color theme="0" tint="-4.9989318521683403E-2"/>
      </top>
      <bottom style="double">
        <color theme="0" tint="-4.9989318521683403E-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4" fillId="0" borderId="0" xfId="0" applyFont="1"/>
    <xf numFmtId="17" fontId="3" fillId="0" borderId="4" xfId="0" quotePrefix="1" applyNumberFormat="1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4" borderId="1" xfId="0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right"/>
    </xf>
    <xf numFmtId="0" fontId="4" fillId="7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8" borderId="1" xfId="0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1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4" fillId="6" borderId="1" xfId="0" applyFont="1" applyFill="1" applyBorder="1" applyAlignment="1">
      <alignment horizontal="right"/>
    </xf>
    <xf numFmtId="0" fontId="3" fillId="4" borderId="12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164" fontId="4" fillId="0" borderId="0" xfId="1" applyFont="1" applyFill="1" applyBorder="1" applyAlignment="1">
      <alignment horizontal="center" vertical="center"/>
    </xf>
    <xf numFmtId="0" fontId="4" fillId="2" borderId="0" xfId="0" applyFont="1" applyFill="1"/>
    <xf numFmtId="0" fontId="3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9" borderId="3" xfId="0" applyFont="1" applyFill="1" applyBorder="1" applyAlignment="1">
      <alignment horizontal="center"/>
    </xf>
    <xf numFmtId="0" fontId="3" fillId="9" borderId="15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3" fillId="7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164" fontId="8" fillId="2" borderId="0" xfId="0" applyNumberFormat="1" applyFont="1" applyFill="1"/>
    <xf numFmtId="164" fontId="4" fillId="2" borderId="0" xfId="0" applyNumberFormat="1" applyFont="1" applyFill="1"/>
    <xf numFmtId="0" fontId="7" fillId="2" borderId="0" xfId="0" applyFont="1" applyFill="1"/>
    <xf numFmtId="0" fontId="3" fillId="6" borderId="2" xfId="0" applyFont="1" applyFill="1" applyBorder="1" applyAlignment="1">
      <alignment horizontal="center" vertical="center"/>
    </xf>
    <xf numFmtId="0" fontId="6" fillId="10" borderId="16" xfId="0" applyFont="1" applyFill="1" applyBorder="1" applyAlignment="1">
      <alignment horizontal="center"/>
    </xf>
    <xf numFmtId="0" fontId="3" fillId="11" borderId="2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right"/>
    </xf>
    <xf numFmtId="4" fontId="6" fillId="10" borderId="16" xfId="0" applyNumberFormat="1" applyFont="1" applyFill="1" applyBorder="1" applyAlignment="1">
      <alignment horizontal="center"/>
    </xf>
    <xf numFmtId="2" fontId="4" fillId="0" borderId="1" xfId="2" applyNumberFormat="1" applyFont="1" applyFill="1" applyBorder="1" applyAlignment="1">
      <alignment horizontal="center" vertical="center"/>
    </xf>
    <xf numFmtId="164" fontId="5" fillId="2" borderId="1" xfId="1" applyFont="1" applyFill="1" applyBorder="1"/>
    <xf numFmtId="164" fontId="9" fillId="2" borderId="0" xfId="0" applyNumberFormat="1" applyFont="1" applyFill="1"/>
    <xf numFmtId="4" fontId="5" fillId="0" borderId="2" xfId="0" applyNumberFormat="1" applyFont="1" applyBorder="1" applyAlignment="1">
      <alignment horizontal="center"/>
    </xf>
    <xf numFmtId="4" fontId="6" fillId="3" borderId="16" xfId="0" applyNumberFormat="1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E1424-B839-4C04-B829-4DE2088E2006}">
  <dimension ref="A2:U53"/>
  <sheetViews>
    <sheetView showGridLines="0" tabSelected="1" zoomScale="82" zoomScaleNormal="82" workbookViewId="0">
      <pane xSplit="2" topLeftCell="C1" activePane="topRight" state="frozen"/>
      <selection activeCell="A3" sqref="A3"/>
      <selection pane="topRight" activeCell="H28" sqref="H28"/>
    </sheetView>
  </sheetViews>
  <sheetFormatPr baseColWidth="10" defaultRowHeight="11.5"/>
  <cols>
    <col min="1" max="1" width="3.54296875" style="2" customWidth="1"/>
    <col min="2" max="2" width="12.26953125" style="2" customWidth="1"/>
    <col min="3" max="3" width="29.81640625" style="2" customWidth="1"/>
    <col min="4" max="4" width="23.36328125" style="2" customWidth="1"/>
    <col min="5" max="5" width="25.26953125" style="2" customWidth="1"/>
    <col min="6" max="7" width="20.7265625" style="2" bestFit="1" customWidth="1"/>
    <col min="8" max="8" width="18.90625" style="2" bestFit="1" customWidth="1"/>
    <col min="9" max="9" width="18" style="2" bestFit="1" customWidth="1"/>
    <col min="10" max="10" width="10.90625" style="2"/>
    <col min="11" max="11" width="12.81640625" style="2" bestFit="1" customWidth="1"/>
    <col min="12" max="13" width="10.90625" style="2"/>
    <col min="14" max="14" width="11.54296875" style="2" bestFit="1" customWidth="1"/>
    <col min="15" max="15" width="10.90625" style="2"/>
    <col min="16" max="16" width="13.90625" style="2" customWidth="1"/>
    <col min="17" max="17" width="20.6328125" style="2" bestFit="1" customWidth="1"/>
    <col min="18" max="18" width="15.7265625" style="2" bestFit="1" customWidth="1"/>
    <col min="19" max="19" width="21.1796875" style="2" bestFit="1" customWidth="1"/>
    <col min="20" max="20" width="14.54296875" style="2" bestFit="1" customWidth="1"/>
    <col min="21" max="21" width="16.54296875" style="2" bestFit="1" customWidth="1"/>
    <col min="22" max="16384" width="10.90625" style="2"/>
  </cols>
  <sheetData>
    <row r="2" spans="3:21" ht="12" thickBot="1">
      <c r="C2" s="1" t="s">
        <v>37</v>
      </c>
    </row>
    <row r="3" spans="3:21">
      <c r="C3" s="3" t="s">
        <v>19</v>
      </c>
      <c r="D3" s="4"/>
      <c r="E3" s="5"/>
    </row>
    <row r="4" spans="3:21">
      <c r="C4" s="6" t="s">
        <v>17</v>
      </c>
      <c r="D4" s="1"/>
      <c r="E4" s="7"/>
    </row>
    <row r="5" spans="3:21" ht="12" thickBot="1">
      <c r="C5" s="8" t="s">
        <v>18</v>
      </c>
      <c r="D5" s="9"/>
      <c r="E5" s="10"/>
    </row>
    <row r="6" spans="3:21" ht="14.5" customHeight="1"/>
    <row r="7" spans="3:21">
      <c r="C7" s="11" t="s">
        <v>33</v>
      </c>
      <c r="D7" s="11"/>
      <c r="G7" s="12" t="s">
        <v>20</v>
      </c>
      <c r="H7" s="13" t="s">
        <v>35</v>
      </c>
    </row>
    <row r="8" spans="3:21">
      <c r="C8" s="14" t="s">
        <v>34</v>
      </c>
      <c r="D8" s="14">
        <v>86.65</v>
      </c>
      <c r="G8" s="12" t="s">
        <v>21</v>
      </c>
      <c r="H8" s="15" t="s">
        <v>36</v>
      </c>
      <c r="O8" s="16"/>
      <c r="P8" s="17"/>
      <c r="Q8" s="18"/>
      <c r="R8" s="17"/>
      <c r="S8" s="19"/>
      <c r="T8" s="19"/>
      <c r="U8" s="20"/>
    </row>
    <row r="9" spans="3:21">
      <c r="G9" s="12" t="s">
        <v>22</v>
      </c>
      <c r="H9" s="21" t="s">
        <v>16</v>
      </c>
      <c r="O9" s="16"/>
      <c r="P9" s="17"/>
      <c r="Q9" s="18"/>
      <c r="R9" s="17"/>
      <c r="S9" s="19"/>
      <c r="T9" s="19"/>
      <c r="U9" s="20"/>
    </row>
    <row r="10" spans="3:21" ht="12" thickBot="1">
      <c r="O10" s="16"/>
      <c r="P10" s="17"/>
      <c r="Q10" s="18"/>
      <c r="R10" s="17"/>
      <c r="S10" s="19"/>
      <c r="T10" s="19"/>
      <c r="U10" s="20"/>
    </row>
    <row r="11" spans="3:21" ht="12" thickBot="1">
      <c r="C11" s="22" t="s">
        <v>32</v>
      </c>
      <c r="D11" s="23"/>
      <c r="G11" s="22" t="s">
        <v>43</v>
      </c>
      <c r="H11" s="24"/>
      <c r="I11" s="23"/>
      <c r="O11" s="16"/>
      <c r="P11" s="17"/>
      <c r="Q11" s="18"/>
      <c r="R11" s="17"/>
      <c r="S11" s="19"/>
      <c r="T11" s="19"/>
      <c r="U11" s="20"/>
    </row>
    <row r="12" spans="3:21">
      <c r="C12" s="25" t="s">
        <v>40</v>
      </c>
      <c r="D12" s="25"/>
      <c r="F12" s="26"/>
      <c r="G12" s="27" t="s">
        <v>0</v>
      </c>
      <c r="H12" s="28" t="s">
        <v>36</v>
      </c>
      <c r="I12" s="29" t="s">
        <v>16</v>
      </c>
      <c r="O12" s="16"/>
      <c r="P12" s="17"/>
      <c r="Q12" s="18"/>
      <c r="R12" s="17"/>
      <c r="S12" s="19"/>
      <c r="T12" s="19"/>
      <c r="U12" s="20"/>
    </row>
    <row r="13" spans="3:21">
      <c r="C13" s="14" t="s">
        <v>3</v>
      </c>
      <c r="D13" s="14">
        <v>503</v>
      </c>
      <c r="E13" s="2" t="s">
        <v>26</v>
      </c>
      <c r="F13" s="30" t="s">
        <v>3</v>
      </c>
      <c r="G13" s="31">
        <v>2.62</v>
      </c>
      <c r="H13" s="31">
        <v>1.4</v>
      </c>
      <c r="I13" s="31">
        <v>3.87</v>
      </c>
      <c r="L13" s="32"/>
      <c r="M13" s="32"/>
      <c r="N13" s="32"/>
      <c r="O13" s="16"/>
      <c r="P13" s="17"/>
      <c r="Q13" s="18"/>
      <c r="R13" s="17"/>
      <c r="S13" s="19"/>
      <c r="T13" s="19"/>
      <c r="U13" s="20"/>
    </row>
    <row r="14" spans="3:21">
      <c r="C14" s="14" t="s">
        <v>4</v>
      </c>
      <c r="D14" s="14">
        <v>600</v>
      </c>
      <c r="E14" s="2" t="s">
        <v>31</v>
      </c>
      <c r="F14" s="30" t="s">
        <v>4</v>
      </c>
      <c r="G14" s="31">
        <v>15.3</v>
      </c>
      <c r="H14" s="31">
        <v>11.1</v>
      </c>
      <c r="I14" s="31">
        <v>22.3</v>
      </c>
      <c r="O14" s="16"/>
      <c r="P14" s="17"/>
      <c r="Q14" s="18"/>
      <c r="R14" s="17"/>
      <c r="S14" s="19"/>
      <c r="T14" s="19"/>
      <c r="U14" s="20"/>
    </row>
    <row r="15" spans="3:21">
      <c r="C15" s="14" t="s">
        <v>5</v>
      </c>
      <c r="D15" s="14">
        <v>948.75</v>
      </c>
      <c r="E15" s="2" t="s">
        <v>27</v>
      </c>
      <c r="F15" s="30" t="s">
        <v>23</v>
      </c>
      <c r="G15" s="31">
        <v>8.0500000000000007</v>
      </c>
      <c r="H15" s="31">
        <v>13.6</v>
      </c>
      <c r="I15" s="31">
        <v>8.9</v>
      </c>
    </row>
    <row r="16" spans="3:21">
      <c r="C16" s="14" t="s">
        <v>28</v>
      </c>
      <c r="D16" s="14">
        <v>903.5</v>
      </c>
      <c r="E16" s="2" t="s">
        <v>29</v>
      </c>
      <c r="F16" s="30" t="s">
        <v>6</v>
      </c>
      <c r="G16" s="31">
        <v>25.87</v>
      </c>
      <c r="H16" s="31">
        <v>19.899999999999999</v>
      </c>
      <c r="I16" s="31">
        <v>32</v>
      </c>
    </row>
    <row r="17" spans="1:13">
      <c r="C17" s="14" t="s">
        <v>7</v>
      </c>
      <c r="D17" s="14">
        <v>514</v>
      </c>
      <c r="E17" s="2" t="s">
        <v>30</v>
      </c>
      <c r="F17" s="30" t="s">
        <v>24</v>
      </c>
      <c r="G17" s="31">
        <v>46.16</v>
      </c>
      <c r="H17" s="31">
        <v>52</v>
      </c>
      <c r="I17" s="31">
        <v>31</v>
      </c>
    </row>
    <row r="18" spans="1:13" ht="14" customHeight="1"/>
    <row r="19" spans="1:13">
      <c r="B19" s="33"/>
      <c r="C19" s="34" t="s">
        <v>1</v>
      </c>
      <c r="D19" s="34" t="s">
        <v>15</v>
      </c>
      <c r="E19" s="34" t="s">
        <v>8</v>
      </c>
      <c r="F19" s="34" t="s">
        <v>9</v>
      </c>
      <c r="G19" s="34" t="s">
        <v>25</v>
      </c>
      <c r="H19" s="35" t="s">
        <v>39</v>
      </c>
      <c r="I19" s="35" t="s">
        <v>41</v>
      </c>
    </row>
    <row r="20" spans="1:13">
      <c r="A20" s="12"/>
      <c r="B20" s="13" t="s">
        <v>35</v>
      </c>
      <c r="C20" s="36">
        <v>600000</v>
      </c>
      <c r="D20" s="36">
        <v>29.9</v>
      </c>
      <c r="E20" s="36">
        <f>+(D20+131.5)/(141.5*0.159)</f>
        <v>7.1738115874391628</v>
      </c>
      <c r="F20" s="36">
        <f>+C20/E20</f>
        <v>83637.546468401488</v>
      </c>
      <c r="G20" s="31">
        <v>1.65</v>
      </c>
      <c r="H20" s="37">
        <v>45153</v>
      </c>
      <c r="I20" s="14" t="s">
        <v>42</v>
      </c>
    </row>
    <row r="21" spans="1:13">
      <c r="A21" s="12"/>
      <c r="B21" s="51" t="s">
        <v>36</v>
      </c>
      <c r="C21" s="36">
        <v>675000</v>
      </c>
      <c r="D21" s="36">
        <v>28.8</v>
      </c>
      <c r="E21" s="36">
        <f t="shared" ref="E21:E22" si="0">+(D21+131.5)/(141.5*0.159)</f>
        <v>7.1249194390737163</v>
      </c>
      <c r="F21" s="36">
        <f>+C21/E21</f>
        <v>94737.913287585776</v>
      </c>
      <c r="G21" s="31">
        <v>0.6</v>
      </c>
      <c r="H21" s="37">
        <v>45153</v>
      </c>
      <c r="I21" s="14" t="s">
        <v>42</v>
      </c>
      <c r="M21" s="38"/>
    </row>
    <row r="22" spans="1:13">
      <c r="A22" s="12"/>
      <c r="B22" s="21" t="s">
        <v>16</v>
      </c>
      <c r="C22" s="36">
        <v>675000</v>
      </c>
      <c r="D22" s="36">
        <v>36.9</v>
      </c>
      <c r="E22" s="36">
        <f t="shared" si="0"/>
        <v>7.4849434406738231</v>
      </c>
      <c r="F22" s="36">
        <f>+C22/E22</f>
        <v>90181.042161520192</v>
      </c>
      <c r="G22" s="31">
        <v>0.82</v>
      </c>
      <c r="H22" s="37">
        <v>45153</v>
      </c>
      <c r="I22" s="14" t="s">
        <v>42</v>
      </c>
    </row>
    <row r="23" spans="1:13" ht="14.4" customHeight="1" thickBot="1">
      <c r="C23" s="32"/>
      <c r="D23" s="16"/>
      <c r="E23" s="16"/>
    </row>
    <row r="24" spans="1:13" ht="14.4" customHeight="1" thickTop="1" thickBot="1">
      <c r="C24" s="39" t="s">
        <v>38</v>
      </c>
      <c r="D24" s="39" t="s">
        <v>1</v>
      </c>
      <c r="E24" s="39" t="s">
        <v>2</v>
      </c>
      <c r="F24" s="39" t="s">
        <v>12</v>
      </c>
      <c r="G24" s="40" t="s">
        <v>13</v>
      </c>
      <c r="H24" s="49" t="s">
        <v>14</v>
      </c>
    </row>
    <row r="25" spans="1:13" ht="14.4" customHeight="1" thickTop="1" thickBot="1">
      <c r="B25" s="13" t="s">
        <v>35</v>
      </c>
      <c r="C25" s="41">
        <v>-12</v>
      </c>
      <c r="D25" s="36">
        <f>+C20</f>
        <v>600000</v>
      </c>
      <c r="E25" s="41">
        <f>+$D$8</f>
        <v>86.65</v>
      </c>
      <c r="F25" s="36">
        <f>(E25+C25)*D25</f>
        <v>44790000</v>
      </c>
      <c r="G25" s="56">
        <f>+E35</f>
        <v>54561022.439637542</v>
      </c>
      <c r="H25" s="57">
        <f>G25-F25</f>
        <v>9771022.4396375418</v>
      </c>
    </row>
    <row r="26" spans="1:13" ht="15" customHeight="1" thickTop="1" thickBot="1">
      <c r="B26" s="51" t="s">
        <v>36</v>
      </c>
      <c r="C26" s="41">
        <v>0.4</v>
      </c>
      <c r="D26" s="36">
        <f>+C21</f>
        <v>675000</v>
      </c>
      <c r="E26" s="41">
        <f>+$D$8</f>
        <v>86.65</v>
      </c>
      <c r="F26" s="36">
        <f>(E26+C26)*D26</f>
        <v>58758750.000000007</v>
      </c>
      <c r="G26" s="56">
        <f>+E43</f>
        <v>61555817.051738918</v>
      </c>
      <c r="H26" s="52">
        <f>G26-F26</f>
        <v>2797067.0517389104</v>
      </c>
    </row>
    <row r="27" spans="1:13" ht="12.5" thickTop="1" thickBot="1">
      <c r="B27" s="21" t="s">
        <v>16</v>
      </c>
      <c r="C27" s="41">
        <v>-0.3</v>
      </c>
      <c r="D27" s="36">
        <f>+C22</f>
        <v>675000</v>
      </c>
      <c r="E27" s="41">
        <f>+$D$8</f>
        <v>86.65</v>
      </c>
      <c r="F27" s="36">
        <f>(E27+C27)*D27</f>
        <v>58286250.000000007</v>
      </c>
      <c r="G27" s="56">
        <f>+E51</f>
        <v>61879061.267603174</v>
      </c>
      <c r="H27" s="52">
        <f>G27-F27</f>
        <v>3592811.2676031664</v>
      </c>
    </row>
    <row r="28" spans="1:13" ht="12" thickTop="1"/>
    <row r="29" spans="1:13" ht="23">
      <c r="B29" s="33"/>
      <c r="C29" s="33"/>
      <c r="D29" s="34" t="s">
        <v>10</v>
      </c>
      <c r="E29" s="34" t="s">
        <v>11</v>
      </c>
      <c r="F29" s="33"/>
    </row>
    <row r="30" spans="1:13">
      <c r="B30" s="42" t="s">
        <v>0</v>
      </c>
      <c r="C30" s="43" t="s">
        <v>3</v>
      </c>
      <c r="D30" s="53">
        <f>+G13</f>
        <v>2.62</v>
      </c>
      <c r="E30" s="54">
        <f>$D$25*$D30/100/$E$20*D13</f>
        <v>1102225.7698884758</v>
      </c>
      <c r="F30" s="47"/>
      <c r="G30" s="1" t="s">
        <v>44</v>
      </c>
      <c r="H30" s="1"/>
    </row>
    <row r="31" spans="1:13">
      <c r="B31" s="44"/>
      <c r="C31" s="43" t="s">
        <v>4</v>
      </c>
      <c r="D31" s="53">
        <f>+G14</f>
        <v>15.3</v>
      </c>
      <c r="E31" s="54">
        <f t="shared" ref="E31:E34" si="1">$D$25*$D31/100/$E$20*D14</f>
        <v>7677926.765799256</v>
      </c>
      <c r="F31" s="47"/>
    </row>
    <row r="32" spans="1:13">
      <c r="B32" s="44"/>
      <c r="C32" s="43" t="s">
        <v>23</v>
      </c>
      <c r="D32" s="53">
        <f>+G15</f>
        <v>8.0500000000000007</v>
      </c>
      <c r="E32" s="54">
        <f t="shared" si="1"/>
        <v>6387765.3380576205</v>
      </c>
      <c r="F32" s="47"/>
    </row>
    <row r="33" spans="2:8">
      <c r="B33" s="44"/>
      <c r="C33" s="43" t="s">
        <v>6</v>
      </c>
      <c r="D33" s="53">
        <f>+G16</f>
        <v>25.87</v>
      </c>
      <c r="E33" s="54">
        <f t="shared" si="1"/>
        <v>19549059.560687732</v>
      </c>
      <c r="F33" s="47"/>
    </row>
    <row r="34" spans="2:8">
      <c r="B34" s="44"/>
      <c r="C34" s="43" t="s">
        <v>24</v>
      </c>
      <c r="D34" s="53">
        <f>+G17</f>
        <v>46.16</v>
      </c>
      <c r="E34" s="54">
        <f t="shared" si="1"/>
        <v>19844045.005204454</v>
      </c>
      <c r="F34" s="47"/>
    </row>
    <row r="35" spans="2:8">
      <c r="B35" s="44"/>
      <c r="C35" s="33"/>
      <c r="D35" s="33"/>
      <c r="E35" s="55">
        <f>SUM(E30:E34)</f>
        <v>54561022.439637542</v>
      </c>
      <c r="F35" s="45"/>
    </row>
    <row r="36" spans="2:8">
      <c r="B36" s="33"/>
      <c r="C36" s="33"/>
      <c r="E36" s="46"/>
      <c r="F36" s="45"/>
    </row>
    <row r="37" spans="2:8" ht="23">
      <c r="B37" s="33"/>
      <c r="C37" s="33"/>
      <c r="D37" s="34" t="s">
        <v>10</v>
      </c>
      <c r="E37" s="34" t="s">
        <v>11</v>
      </c>
      <c r="F37" s="33"/>
    </row>
    <row r="38" spans="2:8">
      <c r="B38" s="50" t="s">
        <v>36</v>
      </c>
      <c r="C38" s="43" t="s">
        <v>3</v>
      </c>
      <c r="D38" s="53">
        <f>+H13</f>
        <v>1.4</v>
      </c>
      <c r="E38" s="54">
        <f>$D$26*$D38/100/$E$21*D13</f>
        <v>667144.38537117885</v>
      </c>
      <c r="F38" s="47"/>
    </row>
    <row r="39" spans="2:8">
      <c r="B39" s="44"/>
      <c r="C39" s="43" t="s">
        <v>4</v>
      </c>
      <c r="D39" s="53">
        <f t="shared" ref="D39:D42" si="2">+H14</f>
        <v>11.1</v>
      </c>
      <c r="E39" s="54">
        <f t="shared" ref="E39:E42" si="3">$D$26*$D39/100/$E$21*D14</f>
        <v>6309545.0249532126</v>
      </c>
      <c r="F39" s="47"/>
    </row>
    <row r="40" spans="2:8">
      <c r="B40" s="44"/>
      <c r="C40" s="43" t="s">
        <v>23</v>
      </c>
      <c r="D40" s="53">
        <f t="shared" si="2"/>
        <v>13.6</v>
      </c>
      <c r="E40" s="54">
        <f t="shared" si="3"/>
        <v>12224032.951497192</v>
      </c>
      <c r="F40" s="47"/>
    </row>
    <row r="41" spans="2:8">
      <c r="B41" s="44"/>
      <c r="C41" s="43" t="s">
        <v>6</v>
      </c>
      <c r="D41" s="53">
        <f t="shared" si="2"/>
        <v>19.899999999999999</v>
      </c>
      <c r="E41" s="54">
        <f t="shared" si="3"/>
        <v>17033545.226411413</v>
      </c>
      <c r="F41" s="47"/>
    </row>
    <row r="42" spans="2:8">
      <c r="B42" s="44"/>
      <c r="C42" s="43" t="s">
        <v>24</v>
      </c>
      <c r="D42" s="53">
        <f t="shared" si="2"/>
        <v>52</v>
      </c>
      <c r="E42" s="54">
        <f t="shared" si="3"/>
        <v>25321549.463505924</v>
      </c>
      <c r="F42" s="47"/>
    </row>
    <row r="43" spans="2:8">
      <c r="B43" s="44"/>
      <c r="C43" s="33"/>
      <c r="D43" s="33"/>
      <c r="E43" s="55">
        <f>SUM(E38:E42)</f>
        <v>61555817.051738918</v>
      </c>
      <c r="F43" s="45"/>
    </row>
    <row r="44" spans="2:8">
      <c r="B44" s="33"/>
      <c r="C44" s="33"/>
      <c r="D44" s="33"/>
      <c r="E44" s="33"/>
      <c r="F44" s="33"/>
      <c r="G44" s="33"/>
      <c r="H44" s="33"/>
    </row>
    <row r="45" spans="2:8" ht="23">
      <c r="B45" s="33"/>
      <c r="C45" s="33"/>
      <c r="D45" s="34" t="s">
        <v>10</v>
      </c>
      <c r="E45" s="34" t="s">
        <v>11</v>
      </c>
      <c r="F45" s="33"/>
    </row>
    <row r="46" spans="2:8">
      <c r="B46" s="48" t="s">
        <v>16</v>
      </c>
      <c r="C46" s="43" t="s">
        <v>3</v>
      </c>
      <c r="D46" s="53">
        <f>+I13</f>
        <v>3.87</v>
      </c>
      <c r="E46" s="54">
        <f>$D$27*$D46/100/$E$22*D13</f>
        <v>1755473.1848203682</v>
      </c>
      <c r="F46" s="47"/>
    </row>
    <row r="47" spans="2:8">
      <c r="B47" s="44"/>
      <c r="C47" s="43" t="s">
        <v>4</v>
      </c>
      <c r="D47" s="53">
        <f t="shared" ref="D47:D50" si="4">+I14</f>
        <v>22.3</v>
      </c>
      <c r="E47" s="54">
        <f t="shared" ref="E47:E50" si="5">$D$27*$D47/100/$E$22*D14</f>
        <v>12066223.441211401</v>
      </c>
      <c r="F47" s="47"/>
    </row>
    <row r="48" spans="2:8">
      <c r="B48" s="44"/>
      <c r="C48" s="43" t="s">
        <v>23</v>
      </c>
      <c r="D48" s="53">
        <f t="shared" si="4"/>
        <v>8.9</v>
      </c>
      <c r="E48" s="54">
        <f t="shared" si="5"/>
        <v>7614774.4738160623</v>
      </c>
      <c r="F48" s="47"/>
    </row>
    <row r="49" spans="2:9">
      <c r="B49" s="44"/>
      <c r="C49" s="43" t="s">
        <v>6</v>
      </c>
      <c r="D49" s="53">
        <f t="shared" si="4"/>
        <v>32</v>
      </c>
      <c r="E49" s="54">
        <f t="shared" si="5"/>
        <v>26073142.909738716</v>
      </c>
      <c r="F49" s="47"/>
    </row>
    <row r="50" spans="2:9">
      <c r="B50" s="44"/>
      <c r="C50" s="43" t="s">
        <v>24</v>
      </c>
      <c r="D50" s="53">
        <f t="shared" si="4"/>
        <v>31</v>
      </c>
      <c r="E50" s="54">
        <f t="shared" si="5"/>
        <v>14369447.258016627</v>
      </c>
      <c r="F50" s="47"/>
    </row>
    <row r="51" spans="2:9">
      <c r="B51" s="33"/>
      <c r="C51" s="33"/>
      <c r="D51" s="33"/>
      <c r="E51" s="55">
        <f>SUM(E46:E50)</f>
        <v>61879061.267603174</v>
      </c>
      <c r="F51" s="45"/>
    </row>
    <row r="52" spans="2:9">
      <c r="C52" s="33"/>
      <c r="D52" s="33"/>
      <c r="E52" s="33"/>
      <c r="F52" s="33"/>
      <c r="G52" s="46"/>
      <c r="H52" s="46"/>
      <c r="I52" s="46"/>
    </row>
    <row r="53" spans="2:9">
      <c r="C53" s="33"/>
      <c r="D53" s="33"/>
      <c r="E53" s="33"/>
      <c r="F53" s="33"/>
      <c r="G53" s="33"/>
      <c r="H53" s="33"/>
      <c r="I53" s="33"/>
    </row>
  </sheetData>
  <mergeCells count="4">
    <mergeCell ref="C7:D7"/>
    <mergeCell ref="G11:I11"/>
    <mergeCell ref="C12:D12"/>
    <mergeCell ref="C11:D11"/>
  </mergeCells>
  <phoneticPr fontId="2" type="noConversion"/>
  <pageMargins left="0.7" right="0.7" top="0.75" bottom="0.75" header="0.3" footer="0.3"/>
  <pageSetup paperSize="9" orientation="portrait" horizontalDpi="300" verticalDpi="300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Margen teórico refino</vt:lpstr>
    </vt:vector>
  </TitlesOfParts>
  <Company>CEPSA W10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Badenas Benito, Irene</dc:creator>
  <cp:lastModifiedBy>Pascual Perez, Jose Luis</cp:lastModifiedBy>
  <dcterms:created xsi:type="dcterms:W3CDTF">2019-03-02T09:41:06Z</dcterms:created>
  <dcterms:modified xsi:type="dcterms:W3CDTF">2024-04-25T21:53:23Z</dcterms:modified>
</cp:coreProperties>
</file>