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epsacorp-my.sharepoint.com/personal/andresalonso_ferrer_cepsa_com/Documents/Documents/IME/"/>
    </mc:Choice>
  </mc:AlternateContent>
  <xr:revisionPtr revIDLastSave="224" documentId="8_{1094D4DC-D5DE-4964-9B38-F867C31D71F5}" xr6:coauthVersionLast="47" xr6:coauthVersionMax="47" xr10:uidLastSave="{51297094-0F77-40F3-B1D6-1906B186DB55}"/>
  <bookViews>
    <workbookView xWindow="11688" yWindow="-17400" windowWidth="30936" windowHeight="16776" xr2:uid="{CB7D97CE-23A8-49F5-A700-E2B4CA3ACE2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1" l="1"/>
  <c r="C76" i="1"/>
  <c r="B76" i="1"/>
  <c r="D87" i="1"/>
  <c r="C87" i="1"/>
  <c r="B87" i="1"/>
  <c r="G86" i="1"/>
  <c r="F86" i="1"/>
  <c r="E86" i="1"/>
  <c r="G85" i="1"/>
  <c r="F85" i="1"/>
  <c r="E85" i="1"/>
  <c r="G84" i="1"/>
  <c r="F84" i="1"/>
  <c r="E84" i="1"/>
  <c r="H84" i="1" s="1"/>
  <c r="K84" i="1" s="1"/>
  <c r="G83" i="1"/>
  <c r="F83" i="1"/>
  <c r="E83" i="1"/>
  <c r="H83" i="1" s="1"/>
  <c r="K83" i="1" s="1"/>
  <c r="G82" i="1"/>
  <c r="F82" i="1"/>
  <c r="E82" i="1"/>
  <c r="C69" i="1"/>
  <c r="E69" i="1" s="1"/>
  <c r="F69" i="1" s="1"/>
  <c r="D93" i="1" s="1"/>
  <c r="C68" i="1"/>
  <c r="E68" i="1" s="1"/>
  <c r="F68" i="1" s="1"/>
  <c r="C93" i="1" s="1"/>
  <c r="C67" i="1"/>
  <c r="E67" i="1" s="1"/>
  <c r="F67" i="1" s="1"/>
  <c r="B93" i="1" s="1"/>
  <c r="I83" i="1" l="1"/>
  <c r="L83" i="1" s="1"/>
  <c r="J83" i="1"/>
  <c r="M83" i="1" s="1"/>
  <c r="I84" i="1"/>
  <c r="L84" i="1" s="1"/>
  <c r="J84" i="1"/>
  <c r="M84" i="1" s="1"/>
  <c r="H85" i="1"/>
  <c r="K85" i="1" s="1"/>
  <c r="I85" i="1"/>
  <c r="L85" i="1" s="1"/>
  <c r="J82" i="1"/>
  <c r="M82" i="1" s="1"/>
  <c r="I86" i="1"/>
  <c r="L86" i="1" s="1"/>
  <c r="H82" i="1"/>
  <c r="K82" i="1" s="1"/>
  <c r="H86" i="1"/>
  <c r="K86" i="1" s="1"/>
  <c r="I82" i="1"/>
  <c r="J86" i="1"/>
  <c r="M86" i="1" s="1"/>
  <c r="J85" i="1"/>
  <c r="F87" i="1"/>
  <c r="E87" i="1"/>
  <c r="G87" i="1"/>
  <c r="K87" i="1" l="1"/>
  <c r="B92" i="1" s="1"/>
  <c r="B94" i="1" s="1"/>
  <c r="I87" i="1"/>
  <c r="L82" i="1"/>
  <c r="L87" i="1" s="1"/>
  <c r="C92" i="1" s="1"/>
  <c r="C94" i="1" s="1"/>
  <c r="J87" i="1"/>
  <c r="M85" i="1"/>
  <c r="M87" i="1" s="1"/>
  <c r="D92" i="1" s="1"/>
  <c r="D94" i="1" s="1"/>
  <c r="H87" i="1"/>
</calcChain>
</file>

<file path=xl/sharedStrings.xml><?xml version="1.0" encoding="utf-8"?>
<sst xmlns="http://schemas.openxmlformats.org/spreadsheetml/2006/main" count="129" uniqueCount="78">
  <si>
    <t>Refinería de Hydroskimming</t>
  </si>
  <si>
    <t>Necesidad:</t>
  </si>
  <si>
    <t>Crudo medio a ligero, sour</t>
  </si>
  <si>
    <t>Agosto 2023</t>
  </si>
  <si>
    <t>Abastecimiento:</t>
  </si>
  <si>
    <t>Fecha de evaluación:</t>
  </si>
  <si>
    <t>Cargamentos disponibles:</t>
  </si>
  <si>
    <t>Grado</t>
  </si>
  <si>
    <t>Ural</t>
  </si>
  <si>
    <t>Grane Blend</t>
  </si>
  <si>
    <t>Flotta</t>
  </si>
  <si>
    <t>Origen</t>
  </si>
  <si>
    <t>Rusia</t>
  </si>
  <si>
    <t>Noruega</t>
  </si>
  <si>
    <t>Mar del Norte</t>
  </si>
  <si>
    <t>Barriles</t>
  </si>
  <si>
    <t>API</t>
  </si>
  <si>
    <t>Azufre</t>
  </si>
  <si>
    <t>LPG</t>
  </si>
  <si>
    <t>Nafta</t>
  </si>
  <si>
    <t>Jet</t>
  </si>
  <si>
    <t>Gasoil</t>
  </si>
  <si>
    <t>Fuel oil</t>
  </si>
  <si>
    <t>Rendimientos en peso crudos:</t>
  </si>
  <si>
    <t>Precios de los productos a la fecha:</t>
  </si>
  <si>
    <t>$/TM</t>
  </si>
  <si>
    <t xml:space="preserve">Dtd Brent </t>
  </si>
  <si>
    <t>$/bbl</t>
  </si>
  <si>
    <t>Llegada de cargamentos</t>
  </si>
  <si>
    <t>Similares</t>
  </si>
  <si>
    <t>Cotización en base</t>
  </si>
  <si>
    <t>B/L</t>
  </si>
  <si>
    <t>Embarques</t>
  </si>
  <si>
    <t>Primorks (Báltico)</t>
  </si>
  <si>
    <t>Fijación de precio</t>
  </si>
  <si>
    <t>Inicio de Septiembre</t>
  </si>
  <si>
    <t>Pago</t>
  </si>
  <si>
    <t>30 days after B/L</t>
  </si>
  <si>
    <t>Precios</t>
  </si>
  <si>
    <t>Cotización</t>
  </si>
  <si>
    <t>Prima</t>
  </si>
  <si>
    <t>CIF</t>
  </si>
  <si>
    <t>Localización de refinería</t>
  </si>
  <si>
    <t>EU</t>
  </si>
  <si>
    <t>Cotizaciones para la fórmula de precio: no se conoce</t>
  </si>
  <si>
    <t xml:space="preserve">Supuesto de cotizaciones: </t>
  </si>
  <si>
    <t>Las mismas para los tres cargamentos</t>
  </si>
  <si>
    <t>Precio de Crudos:</t>
  </si>
  <si>
    <t>En base a cotización:</t>
  </si>
  <si>
    <t>Cálculo de Margen de Refino por calidad</t>
  </si>
  <si>
    <t>Coste ($/bbl)</t>
  </si>
  <si>
    <t>Coste Total ($)</t>
  </si>
  <si>
    <t>Rendimientos</t>
  </si>
  <si>
    <t>bbls</t>
  </si>
  <si>
    <t>Total</t>
  </si>
  <si>
    <t>Nafta FOB Med</t>
  </si>
  <si>
    <t>Propano CIF Large Cargoes</t>
  </si>
  <si>
    <t>Jet FOB Med</t>
  </si>
  <si>
    <t>Gasoil 10 ppm ULSD FOB med</t>
  </si>
  <si>
    <t>Fuel 3,5% FOB med</t>
  </si>
  <si>
    <t>Factor de conversión bbl -&gt; TM</t>
  </si>
  <si>
    <t>bbls en 1 TM=</t>
  </si>
  <si>
    <t>(API GRAVITY+131,5)/(141,5*0,159)</t>
  </si>
  <si>
    <t>TM</t>
  </si>
  <si>
    <t>bbl/TM</t>
  </si>
  <si>
    <t>Conversión a TM e Ingreso por Venta</t>
  </si>
  <si>
    <t>Ingresos ($)</t>
  </si>
  <si>
    <t>Costes del crudo</t>
  </si>
  <si>
    <t>Margen Bruto de Refino</t>
  </si>
  <si>
    <t>Venta de productos</t>
  </si>
  <si>
    <t>Margen bruto de refino</t>
  </si>
  <si>
    <t>Elección del crudo y justificación</t>
  </si>
  <si>
    <t>El crudo que se debería comprar es el Ural.</t>
  </si>
  <si>
    <t>Al tener una refinería de tipo Hydroskimming, los productos que deberían rendir más son los que poseen una densidad API elevada, es decir, los más ligeros, con lo cual el crudo Floral debería ser el más idóneo (esto por tener una unidad de topping). Asimismo, al tener un reformado catalítico y desulfuradoras, hace viable que pueda convertir la nafta de destilación directa de modo que cumpla con las especificaciones de octano de las gasolinas y adicionalmente, ayuda a medir adecuadamente el nivel de azufre; y así cumplir con las especificaciones de los productos en los diversos mercados.</t>
  </si>
  <si>
    <t>Sin embargo, cabe mencionar que al momento de calcular margen bruto de refino, el crudo que más beneficios trae a la empresa es el Ural, esto desde el punto de vista económico.</t>
  </si>
  <si>
    <t>Dado lo expuesto, lo que convendría para tomar una decisión eficiente, sería estimar la liquidez que que puedan tener los productos obtenidos, y así elegir el crudo que me pueda traer mayor beneficio.</t>
  </si>
  <si>
    <t>Alumno:</t>
  </si>
  <si>
    <t>Andrés Ferrer Velando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</si>
</sst>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quot; $/bbl&quot;"/>
    <numFmt numFmtId="165" formatCode="_-* #,##0_-;\-* #,##0_-;_-* &quot;-&quot;??_-;_-@_-"/>
    <numFmt numFmtId="166" formatCode="#,##0.00&quot; $/TM&quot;"/>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14" fontId="0" fillId="0" borderId="0" xfId="0" applyNumberFormat="1"/>
    <xf numFmtId="17" fontId="0" fillId="0" borderId="0" xfId="0" quotePrefix="1" applyNumberFormat="1"/>
    <xf numFmtId="10" fontId="0" fillId="0" borderId="0" xfId="0" applyNumberFormat="1"/>
    <xf numFmtId="9" fontId="0" fillId="0" borderId="0" xfId="0" applyNumberFormat="1"/>
    <xf numFmtId="10" fontId="0" fillId="0" borderId="1" xfId="0" applyNumberFormat="1" applyBorder="1"/>
    <xf numFmtId="0" fontId="0" fillId="0" borderId="1" xfId="0" applyBorder="1" applyAlignment="1">
      <alignment horizontal="center"/>
    </xf>
    <xf numFmtId="0" fontId="0" fillId="0" borderId="1" xfId="0" applyBorder="1"/>
    <xf numFmtId="10" fontId="0" fillId="0" borderId="1" xfId="2" applyNumberFormat="1" applyFont="1" applyBorder="1" applyAlignment="1">
      <alignment horizontal="center"/>
    </xf>
    <xf numFmtId="10" fontId="0" fillId="0" borderId="1" xfId="0" applyNumberFormat="1" applyBorder="1" applyAlignment="1">
      <alignment horizontal="center"/>
    </xf>
    <xf numFmtId="10" fontId="2" fillId="0" borderId="1" xfId="0" applyNumberFormat="1" applyFont="1" applyBorder="1" applyAlignment="1">
      <alignment horizontal="center"/>
    </xf>
    <xf numFmtId="0" fontId="2" fillId="0" borderId="1" xfId="0" applyFont="1" applyBorder="1" applyAlignment="1">
      <alignment horizontal="center"/>
    </xf>
    <xf numFmtId="0" fontId="0" fillId="0" borderId="0" xfId="0" applyAlignment="1">
      <alignment horizontal="center"/>
    </xf>
    <xf numFmtId="0" fontId="0" fillId="0" borderId="0" xfId="0" applyAlignment="1">
      <alignment horizontal="left"/>
    </xf>
    <xf numFmtId="164" fontId="0" fillId="0" borderId="1" xfId="0" applyNumberFormat="1" applyBorder="1"/>
    <xf numFmtId="43" fontId="0" fillId="0" borderId="1" xfId="1" applyFont="1" applyBorder="1"/>
    <xf numFmtId="165" fontId="0" fillId="0" borderId="1" xfId="1" applyNumberFormat="1" applyFont="1" applyBorder="1"/>
    <xf numFmtId="0" fontId="2" fillId="0" borderId="0" xfId="0" applyFont="1"/>
    <xf numFmtId="165" fontId="0" fillId="0" borderId="1" xfId="1" applyNumberFormat="1" applyFont="1" applyFill="1" applyBorder="1"/>
    <xf numFmtId="0" fontId="2" fillId="0" borderId="0" xfId="0" applyFont="1" applyAlignment="1">
      <alignment horizontal="left"/>
    </xf>
    <xf numFmtId="166" fontId="0" fillId="0" borderId="1" xfId="0" applyNumberFormat="1" applyBorder="1"/>
    <xf numFmtId="0" fontId="2" fillId="0" borderId="2" xfId="0" applyFont="1" applyBorder="1" applyAlignment="1">
      <alignment horizontal="center"/>
    </xf>
    <xf numFmtId="165" fontId="2" fillId="0" borderId="1" xfId="1" applyNumberFormat="1" applyFont="1" applyBorder="1"/>
    <xf numFmtId="165" fontId="2" fillId="0" borderId="1" xfId="1" applyNumberFormat="1" applyFont="1" applyFill="1" applyBorder="1"/>
    <xf numFmtId="0" fontId="2" fillId="0" borderId="1" xfId="0" applyFont="1" applyBorder="1"/>
    <xf numFmtId="0" fontId="0" fillId="0" borderId="0" xfId="0" applyAlignment="1">
      <alignment wrapText="1"/>
    </xf>
    <xf numFmtId="0" fontId="0" fillId="0" borderId="0" xfId="0" applyAlignment="1">
      <alignment horizontal="left" wrapText="1"/>
    </xf>
    <xf numFmtId="10" fontId="2" fillId="0" borderId="1" xfId="0" applyNumberFormat="1" applyFon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2" fillId="0" borderId="1"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DD3B-83B5-4F97-B07C-104FDC0B232D}">
  <dimension ref="A1:P109"/>
  <sheetViews>
    <sheetView showGridLines="0" tabSelected="1" workbookViewId="0">
      <selection activeCell="B4" sqref="B4"/>
    </sheetView>
  </sheetViews>
  <sheetFormatPr defaultColWidth="10.90625" defaultRowHeight="14.5" x14ac:dyDescent="0.35"/>
  <cols>
    <col min="1" max="1" width="22.54296875" customWidth="1"/>
    <col min="2" max="13" width="12.81640625" customWidth="1"/>
    <col min="14" max="19" width="12.453125" customWidth="1"/>
  </cols>
  <sheetData>
    <row r="1" spans="1:5" x14ac:dyDescent="0.35">
      <c r="A1" s="17" t="s">
        <v>0</v>
      </c>
    </row>
    <row r="3" spans="1:5" x14ac:dyDescent="0.35">
      <c r="A3" t="s">
        <v>76</v>
      </c>
      <c r="B3" t="s">
        <v>77</v>
      </c>
    </row>
    <row r="5" spans="1:5" x14ac:dyDescent="0.35">
      <c r="A5" t="s">
        <v>1</v>
      </c>
      <c r="B5" t="s">
        <v>2</v>
      </c>
    </row>
    <row r="6" spans="1:5" x14ac:dyDescent="0.35">
      <c r="A6" t="s">
        <v>5</v>
      </c>
      <c r="B6" s="2" t="s">
        <v>3</v>
      </c>
    </row>
    <row r="7" spans="1:5" x14ac:dyDescent="0.35">
      <c r="A7" t="s">
        <v>4</v>
      </c>
      <c r="B7" s="1">
        <v>45184</v>
      </c>
    </row>
    <row r="9" spans="1:5" x14ac:dyDescent="0.35">
      <c r="A9" t="s">
        <v>6</v>
      </c>
    </row>
    <row r="11" spans="1:5" x14ac:dyDescent="0.35">
      <c r="A11" s="11" t="s">
        <v>7</v>
      </c>
      <c r="B11" s="11" t="s">
        <v>11</v>
      </c>
      <c r="C11" s="11" t="s">
        <v>15</v>
      </c>
      <c r="D11" s="11" t="s">
        <v>16</v>
      </c>
      <c r="E11" s="11" t="s">
        <v>17</v>
      </c>
    </row>
    <row r="12" spans="1:5" x14ac:dyDescent="0.35">
      <c r="A12" s="6" t="s">
        <v>8</v>
      </c>
      <c r="B12" s="6" t="s">
        <v>12</v>
      </c>
      <c r="C12" s="16">
        <v>600000</v>
      </c>
      <c r="D12" s="7">
        <v>29.9</v>
      </c>
      <c r="E12" s="5">
        <v>1.6500000000000001E-2</v>
      </c>
    </row>
    <row r="13" spans="1:5" x14ac:dyDescent="0.35">
      <c r="A13" s="6" t="s">
        <v>9</v>
      </c>
      <c r="B13" s="6" t="s">
        <v>13</v>
      </c>
      <c r="C13" s="16">
        <v>675000</v>
      </c>
      <c r="D13" s="7">
        <v>28.8</v>
      </c>
      <c r="E13" s="5">
        <v>6.0000000000000001E-3</v>
      </c>
    </row>
    <row r="14" spans="1:5" x14ac:dyDescent="0.35">
      <c r="A14" s="6" t="s">
        <v>10</v>
      </c>
      <c r="B14" s="6" t="s">
        <v>14</v>
      </c>
      <c r="C14" s="16">
        <v>675000</v>
      </c>
      <c r="D14" s="7">
        <v>36.9</v>
      </c>
      <c r="E14" s="5">
        <v>8.2000000000000007E-3</v>
      </c>
    </row>
    <row r="16" spans="1:5" x14ac:dyDescent="0.35">
      <c r="A16" t="s">
        <v>23</v>
      </c>
    </row>
    <row r="18" spans="1:4" x14ac:dyDescent="0.35">
      <c r="B18" s="11" t="s">
        <v>8</v>
      </c>
      <c r="C18" s="11" t="s">
        <v>9</v>
      </c>
      <c r="D18" s="11" t="s">
        <v>10</v>
      </c>
    </row>
    <row r="19" spans="1:4" x14ac:dyDescent="0.35">
      <c r="A19" s="6" t="s">
        <v>18</v>
      </c>
      <c r="B19" s="8">
        <v>2.6200000000000001E-2</v>
      </c>
      <c r="C19" s="8">
        <v>1.4E-2</v>
      </c>
      <c r="D19" s="8">
        <v>3.8699999999999998E-2</v>
      </c>
    </row>
    <row r="20" spans="1:4" x14ac:dyDescent="0.35">
      <c r="A20" s="6" t="s">
        <v>19</v>
      </c>
      <c r="B20" s="8">
        <v>0.153</v>
      </c>
      <c r="C20" s="8">
        <v>0.111</v>
      </c>
      <c r="D20" s="8">
        <v>0.223</v>
      </c>
    </row>
    <row r="21" spans="1:4" x14ac:dyDescent="0.35">
      <c r="A21" s="6" t="s">
        <v>20</v>
      </c>
      <c r="B21" s="8">
        <v>8.0500000000000002E-2</v>
      </c>
      <c r="C21" s="8">
        <v>0.13600000000000001</v>
      </c>
      <c r="D21" s="8">
        <v>8.8999999999999996E-2</v>
      </c>
    </row>
    <row r="22" spans="1:4" x14ac:dyDescent="0.35">
      <c r="A22" s="9" t="s">
        <v>21</v>
      </c>
      <c r="B22" s="8">
        <v>0.25869999999999999</v>
      </c>
      <c r="C22" s="8">
        <v>0.19900000000000001</v>
      </c>
      <c r="D22" s="8">
        <v>0.32</v>
      </c>
    </row>
    <row r="23" spans="1:4" x14ac:dyDescent="0.35">
      <c r="A23" s="9" t="s">
        <v>22</v>
      </c>
      <c r="B23" s="8">
        <v>0.46160000000000001</v>
      </c>
      <c r="C23" s="8">
        <v>0.52</v>
      </c>
      <c r="D23" s="8">
        <v>0.31</v>
      </c>
    </row>
    <row r="24" spans="1:4" x14ac:dyDescent="0.35">
      <c r="A24" s="3"/>
    </row>
    <row r="25" spans="1:4" x14ac:dyDescent="0.35">
      <c r="A25" s="3" t="s">
        <v>24</v>
      </c>
    </row>
    <row r="26" spans="1:4" x14ac:dyDescent="0.35">
      <c r="A26" s="3"/>
    </row>
    <row r="27" spans="1:4" x14ac:dyDescent="0.35">
      <c r="A27" s="27" t="s">
        <v>25</v>
      </c>
      <c r="B27" s="27"/>
      <c r="C27" s="27"/>
      <c r="D27" s="27"/>
    </row>
    <row r="28" spans="1:4" x14ac:dyDescent="0.35">
      <c r="A28" s="9" t="s">
        <v>18</v>
      </c>
      <c r="B28" s="20">
        <v>503</v>
      </c>
      <c r="C28" s="28" t="s">
        <v>56</v>
      </c>
      <c r="D28" s="28"/>
    </row>
    <row r="29" spans="1:4" x14ac:dyDescent="0.35">
      <c r="A29" s="6" t="s">
        <v>19</v>
      </c>
      <c r="B29" s="20">
        <v>600</v>
      </c>
      <c r="C29" s="28" t="s">
        <v>55</v>
      </c>
      <c r="D29" s="28"/>
    </row>
    <row r="30" spans="1:4" x14ac:dyDescent="0.35">
      <c r="A30" s="6" t="s">
        <v>20</v>
      </c>
      <c r="B30" s="20">
        <v>948.75</v>
      </c>
      <c r="C30" s="28" t="s">
        <v>57</v>
      </c>
      <c r="D30" s="28"/>
    </row>
    <row r="31" spans="1:4" x14ac:dyDescent="0.35">
      <c r="A31" s="9" t="s">
        <v>21</v>
      </c>
      <c r="B31" s="20">
        <v>903.5</v>
      </c>
      <c r="C31" s="28" t="s">
        <v>58</v>
      </c>
      <c r="D31" s="28"/>
    </row>
    <row r="32" spans="1:4" x14ac:dyDescent="0.35">
      <c r="A32" s="9" t="s">
        <v>22</v>
      </c>
      <c r="B32" s="20">
        <v>514</v>
      </c>
      <c r="C32" s="28" t="s">
        <v>59</v>
      </c>
      <c r="D32" s="28"/>
    </row>
    <row r="34" spans="1:3" x14ac:dyDescent="0.35">
      <c r="A34" s="3" t="s">
        <v>26</v>
      </c>
      <c r="B34">
        <v>86.65</v>
      </c>
      <c r="C34" t="s">
        <v>27</v>
      </c>
    </row>
    <row r="35" spans="1:3" x14ac:dyDescent="0.35">
      <c r="A35" s="3"/>
    </row>
    <row r="36" spans="1:3" x14ac:dyDescent="0.35">
      <c r="A36" s="4" t="s">
        <v>28</v>
      </c>
      <c r="B36" t="s">
        <v>29</v>
      </c>
    </row>
    <row r="37" spans="1:3" x14ac:dyDescent="0.35">
      <c r="A37" t="s">
        <v>30</v>
      </c>
      <c r="B37" t="s">
        <v>31</v>
      </c>
    </row>
    <row r="38" spans="1:3" x14ac:dyDescent="0.35">
      <c r="A38" s="3"/>
    </row>
    <row r="39" spans="1:3" x14ac:dyDescent="0.35">
      <c r="A39" s="4" t="s">
        <v>32</v>
      </c>
    </row>
    <row r="40" spans="1:3" x14ac:dyDescent="0.35">
      <c r="A40" s="4"/>
    </row>
    <row r="41" spans="1:3" x14ac:dyDescent="0.35">
      <c r="A41" s="6" t="s">
        <v>8</v>
      </c>
      <c r="B41" s="29" t="s">
        <v>33</v>
      </c>
      <c r="C41" s="29"/>
    </row>
    <row r="42" spans="1:3" x14ac:dyDescent="0.35">
      <c r="A42" s="6" t="s">
        <v>9</v>
      </c>
      <c r="B42" s="29" t="s">
        <v>14</v>
      </c>
      <c r="C42" s="29"/>
    </row>
    <row r="43" spans="1:3" x14ac:dyDescent="0.35">
      <c r="A43" s="6" t="s">
        <v>10</v>
      </c>
      <c r="B43" s="29" t="s">
        <v>14</v>
      </c>
      <c r="C43" s="29"/>
    </row>
    <row r="45" spans="1:3" x14ac:dyDescent="0.35">
      <c r="A45" s="13" t="s">
        <v>34</v>
      </c>
      <c r="B45" t="s">
        <v>35</v>
      </c>
    </row>
    <row r="46" spans="1:3" x14ac:dyDescent="0.35">
      <c r="A46" s="13" t="s">
        <v>36</v>
      </c>
      <c r="B46" t="s">
        <v>37</v>
      </c>
    </row>
    <row r="47" spans="1:3" x14ac:dyDescent="0.35">
      <c r="A47" s="13"/>
    </row>
    <row r="48" spans="1:3" x14ac:dyDescent="0.35">
      <c r="A48" s="13" t="s">
        <v>47</v>
      </c>
    </row>
    <row r="49" spans="1:3" x14ac:dyDescent="0.35">
      <c r="A49" s="13"/>
    </row>
    <row r="50" spans="1:3" x14ac:dyDescent="0.35">
      <c r="B50" s="30" t="s">
        <v>38</v>
      </c>
      <c r="C50" s="30"/>
    </row>
    <row r="51" spans="1:3" x14ac:dyDescent="0.35">
      <c r="A51" s="11" t="s">
        <v>7</v>
      </c>
      <c r="B51" s="11" t="s">
        <v>39</v>
      </c>
      <c r="C51" s="11" t="s">
        <v>40</v>
      </c>
    </row>
    <row r="52" spans="1:3" x14ac:dyDescent="0.35">
      <c r="A52" s="6" t="s">
        <v>8</v>
      </c>
      <c r="B52" s="5" t="s">
        <v>26</v>
      </c>
      <c r="C52" s="14">
        <v>-12</v>
      </c>
    </row>
    <row r="53" spans="1:3" x14ac:dyDescent="0.35">
      <c r="A53" s="6" t="s">
        <v>9</v>
      </c>
      <c r="B53" s="5" t="s">
        <v>26</v>
      </c>
      <c r="C53" s="14">
        <v>0.4</v>
      </c>
    </row>
    <row r="54" spans="1:3" x14ac:dyDescent="0.35">
      <c r="A54" s="6" t="s">
        <v>10</v>
      </c>
      <c r="B54" s="5" t="s">
        <v>26</v>
      </c>
      <c r="C54" s="14">
        <v>-0.3</v>
      </c>
    </row>
    <row r="56" spans="1:3" x14ac:dyDescent="0.35">
      <c r="A56" t="s">
        <v>48</v>
      </c>
      <c r="B56" t="s">
        <v>41</v>
      </c>
    </row>
    <row r="57" spans="1:3" x14ac:dyDescent="0.35">
      <c r="A57" t="s">
        <v>42</v>
      </c>
      <c r="B57" t="s">
        <v>43</v>
      </c>
    </row>
    <row r="59" spans="1:3" x14ac:dyDescent="0.35">
      <c r="A59" t="s">
        <v>44</v>
      </c>
    </row>
    <row r="60" spans="1:3" x14ac:dyDescent="0.35">
      <c r="A60" t="s">
        <v>45</v>
      </c>
      <c r="B60" t="s">
        <v>46</v>
      </c>
    </row>
    <row r="63" spans="1:3" x14ac:dyDescent="0.35">
      <c r="A63" s="17" t="s">
        <v>49</v>
      </c>
    </row>
    <row r="64" spans="1:3" x14ac:dyDescent="0.35">
      <c r="A64" s="17"/>
    </row>
    <row r="65" spans="1:13" x14ac:dyDescent="0.35">
      <c r="C65" s="30" t="s">
        <v>38</v>
      </c>
      <c r="D65" s="30"/>
      <c r="E65" s="30"/>
    </row>
    <row r="66" spans="1:13" x14ac:dyDescent="0.35">
      <c r="A66" s="11" t="s">
        <v>7</v>
      </c>
      <c r="B66" s="11" t="s">
        <v>15</v>
      </c>
      <c r="C66" s="11" t="s">
        <v>39</v>
      </c>
      <c r="D66" s="11" t="s">
        <v>40</v>
      </c>
      <c r="E66" s="11" t="s">
        <v>50</v>
      </c>
      <c r="F66" s="11" t="s">
        <v>51</v>
      </c>
    </row>
    <row r="67" spans="1:13" x14ac:dyDescent="0.35">
      <c r="A67" s="6" t="s">
        <v>8</v>
      </c>
      <c r="B67" s="16">
        <v>600000</v>
      </c>
      <c r="C67" s="15">
        <f>+VLOOKUP($B$52,$A$34:$B$34,2,0)</f>
        <v>86.65</v>
      </c>
      <c r="D67" s="14">
        <v>-12</v>
      </c>
      <c r="E67" s="14">
        <f>+C67+D67</f>
        <v>74.650000000000006</v>
      </c>
      <c r="F67" s="18">
        <f>+B67*E67</f>
        <v>44790000</v>
      </c>
    </row>
    <row r="68" spans="1:13" x14ac:dyDescent="0.35">
      <c r="A68" s="6" t="s">
        <v>9</v>
      </c>
      <c r="B68" s="16">
        <v>675000</v>
      </c>
      <c r="C68" s="15">
        <f t="shared" ref="C68:C69" si="0">+VLOOKUP($B$52,$A$34:$B$34,2,0)</f>
        <v>86.65</v>
      </c>
      <c r="D68" s="14">
        <v>0.4</v>
      </c>
      <c r="E68" s="14">
        <f t="shared" ref="E68:E69" si="1">+C68+D68</f>
        <v>87.050000000000011</v>
      </c>
      <c r="F68" s="18">
        <f t="shared" ref="F68:F69" si="2">+B68*E68</f>
        <v>58758750.000000007</v>
      </c>
    </row>
    <row r="69" spans="1:13" x14ac:dyDescent="0.35">
      <c r="A69" s="6" t="s">
        <v>10</v>
      </c>
      <c r="B69" s="16">
        <v>675000</v>
      </c>
      <c r="C69" s="15">
        <f t="shared" si="0"/>
        <v>86.65</v>
      </c>
      <c r="D69" s="14">
        <v>-0.3</v>
      </c>
      <c r="E69" s="14">
        <f t="shared" si="1"/>
        <v>86.350000000000009</v>
      </c>
      <c r="F69" s="18">
        <f t="shared" si="2"/>
        <v>58286250.000000007</v>
      </c>
    </row>
    <row r="71" spans="1:13" x14ac:dyDescent="0.35">
      <c r="A71" s="19" t="s">
        <v>60</v>
      </c>
    </row>
    <row r="73" spans="1:13" x14ac:dyDescent="0.35">
      <c r="A73" t="s">
        <v>61</v>
      </c>
      <c r="B73" t="s">
        <v>62</v>
      </c>
    </row>
    <row r="75" spans="1:13" x14ac:dyDescent="0.35">
      <c r="B75" s="21" t="s">
        <v>8</v>
      </c>
      <c r="C75" s="21" t="s">
        <v>9</v>
      </c>
      <c r="D75" s="21" t="s">
        <v>10</v>
      </c>
    </row>
    <row r="76" spans="1:13" x14ac:dyDescent="0.35">
      <c r="A76" s="7" t="s">
        <v>64</v>
      </c>
      <c r="B76" s="15">
        <f>+(VLOOKUP(B$75,$A$11:$D$14,4,0)+131.5)/(141.5*0.159)</f>
        <v>7.1738115874391628</v>
      </c>
      <c r="C76" s="15">
        <f t="shared" ref="C76:D76" si="3">+(VLOOKUP(C$75,$A$11:$D$14,4,0)+131.5)/(141.5*0.159)</f>
        <v>7.1249194390737163</v>
      </c>
      <c r="D76" s="15">
        <f t="shared" si="3"/>
        <v>7.4849434406738231</v>
      </c>
    </row>
    <row r="78" spans="1:13" x14ac:dyDescent="0.35">
      <c r="A78" s="17" t="s">
        <v>65</v>
      </c>
    </row>
    <row r="80" spans="1:13" x14ac:dyDescent="0.35">
      <c r="A80" s="12"/>
      <c r="B80" s="30" t="s">
        <v>52</v>
      </c>
      <c r="C80" s="30"/>
      <c r="D80" s="30"/>
      <c r="E80" s="30" t="s">
        <v>53</v>
      </c>
      <c r="F80" s="30"/>
      <c r="G80" s="30"/>
      <c r="H80" s="30" t="s">
        <v>63</v>
      </c>
      <c r="I80" s="30"/>
      <c r="J80" s="30"/>
      <c r="K80" s="30" t="s">
        <v>66</v>
      </c>
      <c r="L80" s="30"/>
      <c r="M80" s="30"/>
    </row>
    <row r="81" spans="1:16" x14ac:dyDescent="0.35">
      <c r="B81" s="11" t="s">
        <v>8</v>
      </c>
      <c r="C81" s="11" t="s">
        <v>9</v>
      </c>
      <c r="D81" s="11" t="s">
        <v>10</v>
      </c>
      <c r="E81" s="11" t="s">
        <v>8</v>
      </c>
      <c r="F81" s="11" t="s">
        <v>9</v>
      </c>
      <c r="G81" s="11" t="s">
        <v>10</v>
      </c>
      <c r="H81" s="11" t="s">
        <v>8</v>
      </c>
      <c r="I81" s="11" t="s">
        <v>9</v>
      </c>
      <c r="J81" s="11" t="s">
        <v>10</v>
      </c>
      <c r="K81" s="11" t="s">
        <v>8</v>
      </c>
      <c r="L81" s="11" t="s">
        <v>9</v>
      </c>
      <c r="M81" s="11" t="s">
        <v>10</v>
      </c>
    </row>
    <row r="82" spans="1:16" x14ac:dyDescent="0.35">
      <c r="A82" s="6" t="s">
        <v>18</v>
      </c>
      <c r="B82" s="8">
        <v>2.6200000000000001E-2</v>
      </c>
      <c r="C82" s="8">
        <v>1.4E-2</v>
      </c>
      <c r="D82" s="8">
        <v>3.8699999999999998E-2</v>
      </c>
      <c r="E82" s="16">
        <f t="shared" ref="E82:G86" si="4">+B82*VLOOKUP(E$81,$A$12:$C$14,3,0)</f>
        <v>15720</v>
      </c>
      <c r="F82" s="16">
        <f t="shared" si="4"/>
        <v>9450</v>
      </c>
      <c r="G82" s="16">
        <f t="shared" si="4"/>
        <v>26122.5</v>
      </c>
      <c r="H82" s="16">
        <f t="shared" ref="H82:J86" si="5">+E82/HLOOKUP(H$81,$B$75:$D$76,2,0)</f>
        <v>2191.3037174721189</v>
      </c>
      <c r="I82" s="16">
        <f t="shared" si="5"/>
        <v>1326.3307860262009</v>
      </c>
      <c r="J82" s="16">
        <f t="shared" si="5"/>
        <v>3490.0063316508313</v>
      </c>
      <c r="K82" s="16">
        <f>+VLOOKUP($A82,$A$28:$B$32,2,0)*H82</f>
        <v>1102225.7698884758</v>
      </c>
      <c r="L82" s="16">
        <f t="shared" ref="L82:L86" si="6">+VLOOKUP($A82,$A$28:$B$32,2,0)*I82</f>
        <v>667144.38537117909</v>
      </c>
      <c r="M82" s="16">
        <f t="shared" ref="M82:M86" si="7">+VLOOKUP($A82,$A$28:$B$32,2,0)*J82</f>
        <v>1755473.1848203682</v>
      </c>
    </row>
    <row r="83" spans="1:16" x14ac:dyDescent="0.35">
      <c r="A83" s="6" t="s">
        <v>19</v>
      </c>
      <c r="B83" s="8">
        <v>0.153</v>
      </c>
      <c r="C83" s="8">
        <v>0.111</v>
      </c>
      <c r="D83" s="8">
        <v>0.223</v>
      </c>
      <c r="E83" s="16">
        <f t="shared" si="4"/>
        <v>91800</v>
      </c>
      <c r="F83" s="16">
        <f t="shared" si="4"/>
        <v>74925</v>
      </c>
      <c r="G83" s="16">
        <f t="shared" si="4"/>
        <v>150525</v>
      </c>
      <c r="H83" s="16">
        <f t="shared" si="5"/>
        <v>12796.544609665427</v>
      </c>
      <c r="I83" s="16">
        <f t="shared" si="5"/>
        <v>10515.908374922021</v>
      </c>
      <c r="J83" s="16">
        <f t="shared" si="5"/>
        <v>20110.372402019002</v>
      </c>
      <c r="K83" s="16">
        <f t="shared" ref="K83:K86" si="8">+VLOOKUP($A83,$A$28:$B$32,2,0)*H83</f>
        <v>7677926.765799256</v>
      </c>
      <c r="L83" s="16">
        <f t="shared" si="6"/>
        <v>6309545.0249532126</v>
      </c>
      <c r="M83" s="16">
        <f t="shared" si="7"/>
        <v>12066223.441211401</v>
      </c>
    </row>
    <row r="84" spans="1:16" x14ac:dyDescent="0.35">
      <c r="A84" s="6" t="s">
        <v>20</v>
      </c>
      <c r="B84" s="8">
        <v>8.0500000000000002E-2</v>
      </c>
      <c r="C84" s="8">
        <v>0.13600000000000001</v>
      </c>
      <c r="D84" s="8">
        <v>8.8999999999999996E-2</v>
      </c>
      <c r="E84" s="16">
        <f t="shared" si="4"/>
        <v>48300</v>
      </c>
      <c r="F84" s="16">
        <f t="shared" si="4"/>
        <v>91800</v>
      </c>
      <c r="G84" s="16">
        <f t="shared" si="4"/>
        <v>60075</v>
      </c>
      <c r="H84" s="16">
        <f t="shared" si="5"/>
        <v>6732.8224907063195</v>
      </c>
      <c r="I84" s="16">
        <f t="shared" si="5"/>
        <v>12884.356207111665</v>
      </c>
      <c r="J84" s="16">
        <f t="shared" si="5"/>
        <v>8026.1127523752966</v>
      </c>
      <c r="K84" s="16">
        <f t="shared" si="8"/>
        <v>6387765.3380576205</v>
      </c>
      <c r="L84" s="16">
        <f t="shared" si="6"/>
        <v>12224032.951497192</v>
      </c>
      <c r="M84" s="16">
        <f t="shared" si="7"/>
        <v>7614774.4738160623</v>
      </c>
    </row>
    <row r="85" spans="1:16" x14ac:dyDescent="0.35">
      <c r="A85" s="9" t="s">
        <v>21</v>
      </c>
      <c r="B85" s="8">
        <v>0.25869999999999999</v>
      </c>
      <c r="C85" s="8">
        <v>0.19900000000000001</v>
      </c>
      <c r="D85" s="8">
        <v>0.32</v>
      </c>
      <c r="E85" s="16">
        <f t="shared" si="4"/>
        <v>155220</v>
      </c>
      <c r="F85" s="16">
        <f t="shared" si="4"/>
        <v>134325</v>
      </c>
      <c r="G85" s="16">
        <f t="shared" si="4"/>
        <v>216000</v>
      </c>
      <c r="H85" s="16">
        <f t="shared" si="5"/>
        <v>21637.033271375465</v>
      </c>
      <c r="I85" s="16">
        <f t="shared" si="5"/>
        <v>18852.844744229569</v>
      </c>
      <c r="J85" s="16">
        <f t="shared" si="5"/>
        <v>28857.933491686461</v>
      </c>
      <c r="K85" s="16">
        <f t="shared" si="8"/>
        <v>19549059.560687732</v>
      </c>
      <c r="L85" s="16">
        <f t="shared" si="6"/>
        <v>17033545.226411417</v>
      </c>
      <c r="M85" s="16">
        <f t="shared" si="7"/>
        <v>26073142.909738716</v>
      </c>
    </row>
    <row r="86" spans="1:16" x14ac:dyDescent="0.35">
      <c r="A86" s="9" t="s">
        <v>22</v>
      </c>
      <c r="B86" s="8">
        <v>0.46160000000000001</v>
      </c>
      <c r="C86" s="8">
        <v>0.52</v>
      </c>
      <c r="D86" s="8">
        <v>0.31</v>
      </c>
      <c r="E86" s="16">
        <f t="shared" si="4"/>
        <v>276960</v>
      </c>
      <c r="F86" s="16">
        <f t="shared" si="4"/>
        <v>351000</v>
      </c>
      <c r="G86" s="16">
        <f t="shared" si="4"/>
        <v>209250</v>
      </c>
      <c r="H86" s="16">
        <f t="shared" si="5"/>
        <v>38607.091449814128</v>
      </c>
      <c r="I86" s="16">
        <f t="shared" si="5"/>
        <v>49263.7149095446</v>
      </c>
      <c r="J86" s="16">
        <f t="shared" si="5"/>
        <v>27956.123070071259</v>
      </c>
      <c r="K86" s="16">
        <f t="shared" si="8"/>
        <v>19844045.005204462</v>
      </c>
      <c r="L86" s="16">
        <f t="shared" si="6"/>
        <v>25321549.463505924</v>
      </c>
      <c r="M86" s="16">
        <f t="shared" si="7"/>
        <v>14369447.258016627</v>
      </c>
    </row>
    <row r="87" spans="1:16" s="17" customFormat="1" x14ac:dyDescent="0.35">
      <c r="A87" s="11" t="s">
        <v>54</v>
      </c>
      <c r="B87" s="10">
        <f>SUM(B82:B86)</f>
        <v>0.98</v>
      </c>
      <c r="C87" s="10">
        <f t="shared" ref="C87:D87" si="9">SUM(C82:C86)</f>
        <v>0.98</v>
      </c>
      <c r="D87" s="10">
        <f t="shared" si="9"/>
        <v>0.98070000000000013</v>
      </c>
      <c r="E87" s="22">
        <f>SUM(E82:E86)</f>
        <v>588000</v>
      </c>
      <c r="F87" s="22">
        <f t="shared" ref="F87:G87" si="10">SUM(F82:F86)</f>
        <v>661500</v>
      </c>
      <c r="G87" s="22">
        <f t="shared" si="10"/>
        <v>661972.5</v>
      </c>
      <c r="H87" s="22">
        <f>SUM(H82:H86)</f>
        <v>81964.795539033454</v>
      </c>
      <c r="I87" s="22">
        <f t="shared" ref="I87:J87" si="11">SUM(I82:I86)</f>
        <v>92843.155021834056</v>
      </c>
      <c r="J87" s="22">
        <f t="shared" si="11"/>
        <v>88440.548047802848</v>
      </c>
      <c r="K87" s="22">
        <f>SUM(K82:K86)</f>
        <v>54561022.439637549</v>
      </c>
      <c r="L87" s="22">
        <f t="shared" ref="L87" si="12">SUM(L82:L86)</f>
        <v>61555817.051738925</v>
      </c>
      <c r="M87" s="22">
        <f t="shared" ref="M87" si="13">SUM(M82:M86)</f>
        <v>61879061.267603174</v>
      </c>
      <c r="N87"/>
      <c r="O87"/>
      <c r="P87"/>
    </row>
    <row r="89" spans="1:16" x14ac:dyDescent="0.35">
      <c r="A89" s="17" t="s">
        <v>70</v>
      </c>
    </row>
    <row r="91" spans="1:16" x14ac:dyDescent="0.35">
      <c r="B91" s="11" t="s">
        <v>8</v>
      </c>
      <c r="C91" s="11" t="s">
        <v>9</v>
      </c>
      <c r="D91" s="11" t="s">
        <v>10</v>
      </c>
    </row>
    <row r="92" spans="1:16" x14ac:dyDescent="0.35">
      <c r="A92" s="7" t="s">
        <v>69</v>
      </c>
      <c r="B92" s="18">
        <f>+K87</f>
        <v>54561022.439637549</v>
      </c>
      <c r="C92" s="18">
        <f t="shared" ref="C92:D92" si="14">+L87</f>
        <v>61555817.051738925</v>
      </c>
      <c r="D92" s="18">
        <f t="shared" si="14"/>
        <v>61879061.267603174</v>
      </c>
    </row>
    <row r="93" spans="1:16" x14ac:dyDescent="0.35">
      <c r="A93" s="7" t="s">
        <v>67</v>
      </c>
      <c r="B93" s="18">
        <f>+VLOOKUP(K$81,$A$66:$F$69,6,0)</f>
        <v>44790000</v>
      </c>
      <c r="C93" s="18">
        <f>+VLOOKUP(L$81,$A$66:$F$69,6,0)</f>
        <v>58758750.000000007</v>
      </c>
      <c r="D93" s="18">
        <f>+VLOOKUP(M$81,$A$66:$F$69,6,0)</f>
        <v>58286250.000000007</v>
      </c>
    </row>
    <row r="94" spans="1:16" x14ac:dyDescent="0.35">
      <c r="A94" s="24" t="s">
        <v>68</v>
      </c>
      <c r="B94" s="23">
        <f>+B92-B93</f>
        <v>9771022.4396375492</v>
      </c>
      <c r="C94" s="23">
        <f t="shared" ref="C94:D94" si="15">+C92-C93</f>
        <v>2797067.0517389178</v>
      </c>
      <c r="D94" s="23">
        <f t="shared" si="15"/>
        <v>3592811.2676031664</v>
      </c>
    </row>
    <row r="97" spans="1:11" x14ac:dyDescent="0.35">
      <c r="A97" s="17" t="s">
        <v>71</v>
      </c>
    </row>
    <row r="99" spans="1:11" x14ac:dyDescent="0.35">
      <c r="A99" t="s">
        <v>72</v>
      </c>
    </row>
    <row r="101" spans="1:11" ht="14.5" customHeight="1" x14ac:dyDescent="0.35">
      <c r="A101" s="26" t="s">
        <v>73</v>
      </c>
      <c r="B101" s="26"/>
      <c r="C101" s="26"/>
      <c r="D101" s="26"/>
      <c r="E101" s="26"/>
      <c r="F101" s="26"/>
      <c r="G101" s="26"/>
      <c r="H101" s="26"/>
      <c r="I101" s="26"/>
      <c r="J101" s="25"/>
      <c r="K101" s="25"/>
    </row>
    <row r="102" spans="1:11" x14ac:dyDescent="0.35">
      <c r="A102" s="26"/>
      <c r="B102" s="26"/>
      <c r="C102" s="26"/>
      <c r="D102" s="26"/>
      <c r="E102" s="26"/>
      <c r="F102" s="26"/>
      <c r="G102" s="26"/>
      <c r="H102" s="26"/>
      <c r="I102" s="26"/>
      <c r="J102" s="25"/>
      <c r="K102" s="25"/>
    </row>
    <row r="103" spans="1:11" x14ac:dyDescent="0.35">
      <c r="A103" s="26"/>
      <c r="B103" s="26"/>
      <c r="C103" s="26"/>
      <c r="D103" s="26"/>
      <c r="E103" s="26"/>
      <c r="F103" s="26"/>
      <c r="G103" s="26"/>
      <c r="H103" s="26"/>
      <c r="I103" s="26"/>
      <c r="J103" s="25"/>
      <c r="K103" s="25"/>
    </row>
    <row r="104" spans="1:11" x14ac:dyDescent="0.35">
      <c r="A104" s="26"/>
      <c r="B104" s="26"/>
      <c r="C104" s="26"/>
      <c r="D104" s="26"/>
      <c r="E104" s="26"/>
      <c r="F104" s="26"/>
      <c r="G104" s="26"/>
      <c r="H104" s="26"/>
      <c r="I104" s="26"/>
      <c r="J104" s="25"/>
      <c r="K104" s="25"/>
    </row>
    <row r="105" spans="1:11" ht="4" customHeight="1" x14ac:dyDescent="0.35">
      <c r="A105" s="26"/>
      <c r="B105" s="26"/>
      <c r="C105" s="26"/>
      <c r="D105" s="26"/>
      <c r="E105" s="26"/>
      <c r="F105" s="26"/>
      <c r="G105" s="26"/>
      <c r="H105" s="26"/>
      <c r="I105" s="26"/>
      <c r="J105" s="25"/>
      <c r="K105" s="25"/>
    </row>
    <row r="106" spans="1:11" x14ac:dyDescent="0.35">
      <c r="A106" s="26" t="s">
        <v>74</v>
      </c>
      <c r="B106" s="26"/>
      <c r="C106" s="26"/>
      <c r="D106" s="26"/>
      <c r="E106" s="26"/>
      <c r="F106" s="26"/>
      <c r="G106" s="26"/>
      <c r="H106" s="26"/>
      <c r="I106" s="26"/>
    </row>
    <row r="107" spans="1:11" x14ac:dyDescent="0.35">
      <c r="A107" s="26"/>
      <c r="B107" s="26"/>
      <c r="C107" s="26"/>
      <c r="D107" s="26"/>
      <c r="E107" s="26"/>
      <c r="F107" s="26"/>
      <c r="G107" s="26"/>
      <c r="H107" s="26"/>
      <c r="I107" s="26"/>
    </row>
    <row r="108" spans="1:11" x14ac:dyDescent="0.35">
      <c r="A108" s="26" t="s">
        <v>75</v>
      </c>
      <c r="B108" s="26"/>
      <c r="C108" s="26"/>
      <c r="D108" s="26"/>
      <c r="E108" s="26"/>
      <c r="F108" s="26"/>
      <c r="G108" s="26"/>
      <c r="H108" s="26"/>
      <c r="I108" s="26"/>
    </row>
    <row r="109" spans="1:11" x14ac:dyDescent="0.35">
      <c r="A109" s="26"/>
      <c r="B109" s="26"/>
      <c r="C109" s="26"/>
      <c r="D109" s="26"/>
      <c r="E109" s="26"/>
      <c r="F109" s="26"/>
      <c r="G109" s="26"/>
      <c r="H109" s="26"/>
      <c r="I109" s="26"/>
    </row>
  </sheetData>
  <mergeCells count="18">
    <mergeCell ref="K80:M80"/>
    <mergeCell ref="B80:D80"/>
    <mergeCell ref="E80:G80"/>
    <mergeCell ref="C32:D32"/>
    <mergeCell ref="B50:C50"/>
    <mergeCell ref="C65:E65"/>
    <mergeCell ref="A106:I107"/>
    <mergeCell ref="A108:I109"/>
    <mergeCell ref="A27:D27"/>
    <mergeCell ref="C28:D28"/>
    <mergeCell ref="A101:I105"/>
    <mergeCell ref="C31:D31"/>
    <mergeCell ref="C30:D30"/>
    <mergeCell ref="C29:D29"/>
    <mergeCell ref="B43:C43"/>
    <mergeCell ref="B42:C42"/>
    <mergeCell ref="B41:C41"/>
    <mergeCell ref="H80:J80"/>
  </mergeCells>
  <pageMargins left="0.7" right="0.7" top="0.75" bottom="0.75" header="0.3" footer="0.3"/>
  <pageSetup paperSize="9" orientation="portrait" r:id="rId1"/>
</worksheet>
</file>

<file path=docMetadata/LabelInfo.xml><?xml version="1.0" encoding="utf-8"?>
<clbl:labelList xmlns:clbl="http://schemas.microsoft.com/office/2020/mipLabelMetadata">
  <clbl:label id="{bc5f3009-5bd3-4402-beb1-6e2eb7c68ff2}" enabled="0" method="" siteId="{bc5f3009-5bd3-4402-beb1-6e2eb7c68f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 Velando, Andres Alonso</dc:creator>
  <cp:lastModifiedBy>Ferrer Velando, Andres Alonso</cp:lastModifiedBy>
  <dcterms:created xsi:type="dcterms:W3CDTF">2024-04-25T15:59:32Z</dcterms:created>
  <dcterms:modified xsi:type="dcterms:W3CDTF">2024-04-26T08:42:34Z</dcterms:modified>
</cp:coreProperties>
</file>